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deira\Documents\Doutoramento\App\Soft\"/>
    </mc:Choice>
  </mc:AlternateContent>
  <bookViews>
    <workbookView xWindow="240" yWindow="132" windowWidth="15120" windowHeight="4956" tabRatio="791"/>
  </bookViews>
  <sheets>
    <sheet name="ULS" sheetId="3" r:id="rId1"/>
    <sheet name="Inst" sheetId="33" r:id="rId2"/>
  </sheets>
  <definedNames>
    <definedName name="b" localSheetId="1">Inst!$C$13</definedName>
    <definedName name="b" localSheetId="0">ULS!$C$14</definedName>
    <definedName name="b">#REF!</definedName>
    <definedName name="classe" localSheetId="1">#REF!</definedName>
    <definedName name="classe" localSheetId="0">#REF!</definedName>
    <definedName name="classe">#REF!</definedName>
    <definedName name="eci" localSheetId="1">Inst!$F$5</definedName>
    <definedName name="eci" localSheetId="0">ULS!$M$6</definedName>
    <definedName name="eci">#REF!</definedName>
    <definedName name="edo" localSheetId="1">Inst!$F$8</definedName>
    <definedName name="edo" localSheetId="0">ULS!$M$9</definedName>
    <definedName name="edo">#REF!</definedName>
    <definedName name="equ" localSheetId="1">Inst!$F$6</definedName>
    <definedName name="equ" localSheetId="0">ULS!$M$7</definedName>
    <definedName name="equ">#REF!</definedName>
    <definedName name="etr" localSheetId="1">Inst!$F$7</definedName>
    <definedName name="etr" localSheetId="0">ULS!$M$8</definedName>
    <definedName name="etr">#REF!</definedName>
    <definedName name="eum" localSheetId="1">Inst!$F$9</definedName>
    <definedName name="eum" localSheetId="0">ULS!$M$10</definedName>
    <definedName name="eum">#REF!</definedName>
    <definedName name="gci" localSheetId="1">Inst!$G$5</definedName>
    <definedName name="gci" localSheetId="0">ULS!$N$6</definedName>
    <definedName name="gci">#REF!</definedName>
    <definedName name="gdo" localSheetId="1">Inst!$G$8</definedName>
    <definedName name="gdo" localSheetId="0">ULS!$N$9</definedName>
    <definedName name="gdo">#REF!</definedName>
    <definedName name="gqu" localSheetId="1">Inst!$G$6</definedName>
    <definedName name="gqu" localSheetId="0">ULS!$N$7</definedName>
    <definedName name="gqu">#REF!</definedName>
    <definedName name="gtr" localSheetId="1">Inst!$G$7</definedName>
    <definedName name="gtr" localSheetId="0">ULS!$N$8</definedName>
    <definedName name="gtr">#REF!</definedName>
    <definedName name="gum" localSheetId="1">Inst!$G$9</definedName>
    <definedName name="gum" localSheetId="0">ULS!$N$10</definedName>
    <definedName name="gum">#REF!</definedName>
    <definedName name="h" localSheetId="1">Inst!$C$12</definedName>
    <definedName name="h" localSheetId="0">ULS!$C$13</definedName>
    <definedName name="h">#REF!</definedName>
    <definedName name="hci" localSheetId="1">Inst!$B$5</definedName>
    <definedName name="hci" localSheetId="0">ULS!$B$6</definedName>
    <definedName name="hci">#REF!</definedName>
    <definedName name="hdo" localSheetId="1">Inst!$B$8</definedName>
    <definedName name="hdo" localSheetId="0">ULS!$B$9</definedName>
    <definedName name="hdo">#REF!</definedName>
    <definedName name="hqu" localSheetId="1">Inst!$B$6</definedName>
    <definedName name="hqu" localSheetId="0">ULS!$B$7</definedName>
    <definedName name="hqu">#REF!</definedName>
    <definedName name="htr" localSheetId="1">Inst!$B$7</definedName>
    <definedName name="htr" localSheetId="0">ULS!$B$8</definedName>
    <definedName name="htr">#REF!</definedName>
    <definedName name="hum" localSheetId="1">Inst!$B$9</definedName>
    <definedName name="hum" localSheetId="0">ULS!$B$10</definedName>
    <definedName name="hum">#REF!</definedName>
    <definedName name="kclt" localSheetId="1">Inst!$D$26</definedName>
    <definedName name="kclt" localSheetId="0">ULS!$D$26</definedName>
    <definedName name="kclt">#REF!</definedName>
    <definedName name="material" localSheetId="1">#REF!</definedName>
    <definedName name="material" localSheetId="0">#REF!</definedName>
    <definedName name="material">#REF!</definedName>
    <definedName name="n" localSheetId="1">Inst!$C$14</definedName>
    <definedName name="n" localSheetId="0">ULS!$C$15</definedName>
    <definedName name="n">#REF!</definedName>
    <definedName name="neve" localSheetId="1">#REF!</definedName>
    <definedName name="neve" localSheetId="0">#REF!</definedName>
    <definedName name="neve">#REF!</definedName>
    <definedName name="orientação" localSheetId="1">#REF!</definedName>
    <definedName name="orientação" localSheetId="0">#REF!</definedName>
    <definedName name="orientação">#REF!</definedName>
    <definedName name="sobrecarga" localSheetId="1">#REF!</definedName>
    <definedName name="sobrecarga" localSheetId="0">#REF!</definedName>
    <definedName name="sobrecarga">#REF!</definedName>
    <definedName name="sobrecargas" localSheetId="1">#REF!</definedName>
    <definedName name="sobrecargas" localSheetId="0">#REF!</definedName>
    <definedName name="sobrecargas">#REF!</definedName>
  </definedNames>
  <calcPr calcId="152511"/>
</workbook>
</file>

<file path=xl/calcChain.xml><?xml version="1.0" encoding="utf-8"?>
<calcChain xmlns="http://schemas.openxmlformats.org/spreadsheetml/2006/main">
  <c r="O10" i="3" l="1"/>
  <c r="O9" i="3"/>
  <c r="O8" i="3"/>
  <c r="O7" i="3"/>
  <c r="O6" i="3"/>
  <c r="P10" i="3"/>
  <c r="P9" i="3"/>
  <c r="P8" i="3"/>
  <c r="P7" i="3"/>
  <c r="P6" i="3"/>
  <c r="B7" i="3" l="1"/>
  <c r="C11" i="33"/>
  <c r="G6" i="3" l="1"/>
  <c r="R6" i="3" l="1"/>
  <c r="R10" i="3" s="1"/>
  <c r="Q10" i="3"/>
  <c r="C9" i="33" l="1"/>
  <c r="A9" i="33"/>
  <c r="C8" i="33"/>
  <c r="A8" i="33"/>
  <c r="C7" i="33"/>
  <c r="B7" i="33"/>
  <c r="A7" i="33"/>
  <c r="C6" i="33"/>
  <c r="A6" i="33"/>
  <c r="C5" i="33"/>
  <c r="B5" i="33"/>
  <c r="A5" i="33"/>
  <c r="C13" i="33" l="1"/>
  <c r="B6" i="33" l="1"/>
  <c r="L9" i="3" l="1"/>
  <c r="K9" i="3"/>
  <c r="N7" i="3" l="1"/>
  <c r="N8" i="3"/>
  <c r="M7" i="3"/>
  <c r="M8" i="3"/>
  <c r="B10" i="3"/>
  <c r="B9" i="33" s="1"/>
  <c r="G6" i="33" l="1"/>
  <c r="G7" i="33"/>
  <c r="F6" i="33"/>
  <c r="F7" i="33"/>
  <c r="B9" i="3"/>
  <c r="B8" i="33" s="1"/>
  <c r="C12" i="33" l="1"/>
  <c r="L6" i="3"/>
  <c r="K6" i="3"/>
  <c r="J10" i="3"/>
  <c r="J9" i="3"/>
  <c r="K10" i="3" l="1"/>
  <c r="L10" i="3"/>
  <c r="M9" i="3"/>
  <c r="M10" i="3"/>
  <c r="M6" i="3"/>
  <c r="N6" i="3"/>
  <c r="N9" i="3"/>
  <c r="N10" i="3" l="1"/>
  <c r="F8" i="33"/>
  <c r="G9" i="33"/>
  <c r="F5" i="33"/>
  <c r="G5" i="33"/>
  <c r="G8" i="33"/>
  <c r="C14" i="3"/>
  <c r="E8" i="3"/>
  <c r="E7" i="33" s="1"/>
  <c r="D8" i="3"/>
  <c r="D7" i="33" s="1"/>
  <c r="E7" i="3"/>
  <c r="E6" i="33" s="1"/>
  <c r="D7" i="3"/>
  <c r="E6" i="3"/>
  <c r="E5" i="33" s="1"/>
  <c r="D6" i="3"/>
  <c r="D5" i="33" l="1"/>
  <c r="D6" i="33"/>
  <c r="F9" i="33"/>
  <c r="D10" i="3"/>
  <c r="D9" i="3"/>
  <c r="D8" i="33" s="1"/>
  <c r="E10" i="3"/>
  <c r="E9" i="33" s="1"/>
  <c r="E9" i="3"/>
  <c r="E8" i="33" s="1"/>
  <c r="C13" i="3"/>
  <c r="B34" i="3" l="1"/>
  <c r="B38" i="3" s="1"/>
  <c r="C14" i="33"/>
  <c r="B24" i="33" s="1"/>
  <c r="C24" i="33" s="1"/>
  <c r="D24" i="33" s="1"/>
  <c r="D9" i="33"/>
  <c r="C15" i="3"/>
  <c r="B22" i="33" l="1"/>
  <c r="C22" i="33" s="1"/>
  <c r="D22" i="33" s="1"/>
  <c r="B21" i="33"/>
  <c r="C21" i="33" s="1"/>
  <c r="D21" i="33" s="1"/>
  <c r="B25" i="33"/>
  <c r="C25" i="33" s="1"/>
  <c r="D25" i="33" s="1"/>
  <c r="B23" i="33"/>
  <c r="C23" i="33" s="1"/>
  <c r="D23" i="33" s="1"/>
  <c r="B25" i="3"/>
  <c r="C25" i="3" s="1"/>
  <c r="D25" i="3" s="1"/>
  <c r="B21" i="3"/>
  <c r="C21" i="3" s="1"/>
  <c r="D21" i="3" s="1"/>
  <c r="B23" i="3"/>
  <c r="C23" i="3" s="1"/>
  <c r="D23" i="3" s="1"/>
  <c r="B22" i="3"/>
  <c r="C22" i="3" s="1"/>
  <c r="D22" i="3" s="1"/>
  <c r="B24" i="3"/>
  <c r="C24" i="3" s="1"/>
  <c r="D24" i="3" s="1"/>
  <c r="D26" i="33" l="1"/>
  <c r="B43" i="3" s="1"/>
  <c r="D26" i="3"/>
  <c r="F26" i="33" l="1"/>
  <c r="F26" i="3"/>
  <c r="B44" i="3" l="1"/>
  <c r="B45" i="3" s="1"/>
  <c r="B46" i="3" s="1"/>
  <c r="B48" i="3" s="1"/>
  <c r="B49" i="3" s="1"/>
  <c r="B50" i="3" l="1"/>
  <c r="D50" i="3" s="1"/>
  <c r="D54" i="3" s="1"/>
</calcChain>
</file>

<file path=xl/sharedStrings.xml><?xml version="1.0" encoding="utf-8"?>
<sst xmlns="http://schemas.openxmlformats.org/spreadsheetml/2006/main" count="108" uniqueCount="61">
  <si>
    <t>b (mm)</t>
  </si>
  <si>
    <t>h (mm)</t>
  </si>
  <si>
    <t>Dimensões e Propriedades da secção</t>
  </si>
  <si>
    <t>Inércia e Propriedades de Rigidez</t>
  </si>
  <si>
    <t>Lamela 5</t>
  </si>
  <si>
    <t>Lamela 4</t>
  </si>
  <si>
    <t>Lamela 3</t>
  </si>
  <si>
    <t>Lamela 2</t>
  </si>
  <si>
    <t>Lamela 1</t>
  </si>
  <si>
    <t>Inércia de cada lamela em</t>
  </si>
  <si>
    <t>mm</t>
  </si>
  <si>
    <t>e (mm)</t>
  </si>
  <si>
    <t>distancia do cg da</t>
  </si>
  <si>
    <t xml:space="preserve">lamela ao en </t>
  </si>
  <si>
    <t>Rigidez de cada lamela em</t>
  </si>
  <si>
    <t>relação ao e.n da secção</t>
  </si>
  <si>
    <t>L</t>
  </si>
  <si>
    <t>N</t>
  </si>
  <si>
    <t>b</t>
  </si>
  <si>
    <t>relação ao eixo neutro</t>
  </si>
  <si>
    <r>
      <t>I (mm</t>
    </r>
    <r>
      <rPr>
        <b/>
        <vertAlign val="superscript"/>
        <sz val="11"/>
        <color theme="1"/>
        <rFont val="Calibri"/>
        <family val="2"/>
        <scheme val="minor"/>
      </rPr>
      <t>4</t>
    </r>
    <r>
      <rPr>
        <b/>
        <sz val="11"/>
        <color theme="1"/>
        <rFont val="Calibri"/>
        <family val="2"/>
        <scheme val="minor"/>
      </rPr>
      <t>)</t>
    </r>
  </si>
  <si>
    <r>
      <t>E.I (N.mm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</si>
  <si>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A (mm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</si>
  <si>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S (mm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</si>
  <si>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t>h</t>
  </si>
  <si>
    <t>M.s estáticos em relação ao topo</t>
  </si>
  <si>
    <r>
      <t>GA</t>
    </r>
    <r>
      <rPr>
        <vertAlign val="subscript"/>
        <sz val="11"/>
        <color theme="1"/>
        <rFont val="Calibri"/>
        <family val="2"/>
        <scheme val="minor"/>
      </rPr>
      <t>CLT</t>
    </r>
  </si>
  <si>
    <t>posição do e.n em relação ao topo da secção:      n</t>
  </si>
  <si>
    <t>Esforços</t>
  </si>
  <si>
    <t>ATENÇÃO - Não é válida para secçoes com b variavel</t>
  </si>
  <si>
    <r>
      <t>EI</t>
    </r>
    <r>
      <rPr>
        <vertAlign val="subscript"/>
        <sz val="11"/>
        <color theme="1"/>
        <rFont val="Calibri"/>
        <family val="2"/>
        <scheme val="minor"/>
      </rPr>
      <t>CLT</t>
    </r>
    <r>
      <rPr>
        <sz val="11"/>
        <color theme="1"/>
        <rFont val="Calibri"/>
        <family val="2"/>
        <scheme val="minor"/>
      </rPr>
      <t>ULS</t>
    </r>
  </si>
  <si>
    <t>kmod</t>
  </si>
  <si>
    <t>kdef</t>
  </si>
  <si>
    <r>
      <t>Emean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</si>
  <si>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Gmean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</si>
  <si>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ϒm</t>
  </si>
  <si>
    <t>-</t>
  </si>
  <si>
    <r>
      <t>Emean,fin,ULS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</si>
  <si>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Gmean,fin,ULS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</si>
  <si>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Resumo das verificações</t>
  </si>
  <si>
    <t>H</t>
  </si>
  <si>
    <r>
      <t>G</t>
    </r>
    <r>
      <rPr>
        <b/>
        <vertAlign val="subscript"/>
        <sz val="11"/>
        <color theme="1"/>
        <rFont val="Calibri"/>
        <family val="2"/>
        <scheme val="minor"/>
      </rPr>
      <t>k</t>
    </r>
    <r>
      <rPr>
        <b/>
        <sz val="11"/>
        <color theme="1"/>
        <rFont val="Calibri"/>
        <family val="2"/>
        <scheme val="minor"/>
      </rPr>
      <t xml:space="preserve"> (kN/m)</t>
    </r>
  </si>
  <si>
    <r>
      <t>Q</t>
    </r>
    <r>
      <rPr>
        <b/>
        <vertAlign val="subscript"/>
        <sz val="11"/>
        <color theme="1"/>
        <rFont val="Calibri"/>
        <family val="2"/>
        <scheme val="minor"/>
      </rPr>
      <t>k</t>
    </r>
    <r>
      <rPr>
        <b/>
        <sz val="11"/>
        <color theme="1"/>
        <rFont val="Calibri"/>
        <family val="2"/>
        <scheme val="minor"/>
      </rPr>
      <t xml:space="preserve"> (kN/m)</t>
    </r>
  </si>
  <si>
    <t>Instabilidade</t>
  </si>
  <si>
    <r>
      <t>σ</t>
    </r>
    <r>
      <rPr>
        <b/>
        <vertAlign val="subscript"/>
        <sz val="11"/>
        <color theme="1"/>
        <rFont val="Calibri"/>
        <family val="2"/>
        <scheme val="minor"/>
      </rPr>
      <t xml:space="preserve">c </t>
    </r>
    <r>
      <rPr>
        <b/>
        <sz val="11"/>
        <color theme="1"/>
        <rFont val="Calibri"/>
        <family val="2"/>
        <scheme val="minor"/>
      </rPr>
      <t>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</si>
  <si>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Tensões normais devido à compressão</t>
  </si>
  <si>
    <r>
      <t>l</t>
    </r>
    <r>
      <rPr>
        <b/>
        <vertAlign val="subscript"/>
        <sz val="11"/>
        <color theme="1"/>
        <rFont val="Calibri"/>
        <family val="2"/>
        <scheme val="minor"/>
      </rPr>
      <t>v</t>
    </r>
    <r>
      <rPr>
        <b/>
        <sz val="11"/>
        <color theme="1"/>
        <rFont val="Calibri"/>
        <family val="2"/>
        <scheme val="minor"/>
      </rPr>
      <t>/l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</si>
  <si>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 xml:space="preserve">cr </t>
    </r>
    <r>
      <rPr>
        <b/>
        <sz val="11"/>
        <color theme="1"/>
        <rFont val="Calibri"/>
        <family val="2"/>
        <scheme val="minor"/>
      </rPr>
      <t>(N</t>
    </r>
    <r>
      <rPr>
        <b/>
        <sz val="11"/>
        <color theme="1"/>
        <rFont val="Calibri"/>
        <family val="2"/>
        <scheme val="minor"/>
      </rPr>
      <t>)</t>
    </r>
  </si>
  <si>
    <r>
      <t>EI</t>
    </r>
    <r>
      <rPr>
        <b/>
        <vertAlign val="subscript"/>
        <sz val="11"/>
        <color theme="1"/>
        <rFont val="Calibri"/>
        <family val="2"/>
        <scheme val="minor"/>
      </rPr>
      <t xml:space="preserve">005 </t>
    </r>
    <r>
      <rPr>
        <b/>
        <sz val="11"/>
        <color theme="1"/>
        <rFont val="Calibri"/>
        <family val="2"/>
        <scheme val="minor"/>
      </rPr>
      <t>(N.mm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</si>
  <si>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GA</t>
    </r>
    <r>
      <rPr>
        <b/>
        <vertAlign val="subscript"/>
        <sz val="11"/>
        <color theme="1"/>
        <rFont val="Calibri"/>
        <family val="2"/>
        <scheme val="minor"/>
      </rPr>
      <t xml:space="preserve">005 </t>
    </r>
    <r>
      <rPr>
        <b/>
        <sz val="11"/>
        <color theme="1"/>
        <rFont val="Calibri"/>
        <family val="2"/>
        <scheme val="minor"/>
      </rPr>
      <t>(N.mm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</si>
  <si>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E005(N/mm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</si>
  <si>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G005(N/mm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</si>
  <si>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rPr>
        <b/>
        <sz val="11"/>
        <color theme="1"/>
        <rFont val="Calibri"/>
        <family val="2"/>
      </rPr>
      <t>λ</t>
    </r>
    <r>
      <rPr>
        <b/>
        <vertAlign val="subscript"/>
        <sz val="11"/>
        <color theme="1"/>
        <rFont val="Calibri"/>
        <family val="2"/>
        <scheme val="minor"/>
      </rPr>
      <t>rel</t>
    </r>
  </si>
  <si>
    <r>
      <t>fc,0,k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</si>
  <si>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r>
      <t>β</t>
    </r>
    <r>
      <rPr>
        <b/>
        <vertAlign val="subscript"/>
        <sz val="11"/>
        <color theme="1"/>
        <rFont val="Calibri"/>
        <family val="2"/>
        <scheme val="minor"/>
      </rPr>
      <t>c</t>
    </r>
  </si>
  <si>
    <t>k</t>
  </si>
  <si>
    <r>
      <t>k</t>
    </r>
    <r>
      <rPr>
        <b/>
        <vertAlign val="subscript"/>
        <sz val="11"/>
        <color theme="1"/>
        <rFont val="Calibri"/>
        <family val="2"/>
        <scheme val="minor"/>
      </rPr>
      <t>c</t>
    </r>
  </si>
  <si>
    <r>
      <t>fc,0,d (N/mm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)</t>
    </r>
  </si>
  <si>
    <t>Interação</t>
  </si>
  <si>
    <t>N ULS</t>
  </si>
  <si>
    <r>
      <rPr>
        <b/>
        <sz val="11"/>
        <color theme="1"/>
        <rFont val="Calibri"/>
        <family val="2"/>
      </rPr>
      <t>Ψ</t>
    </r>
    <r>
      <rPr>
        <b/>
        <sz val="7.7"/>
        <color theme="1"/>
        <rFont val="Calibri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</si>
</sst>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sz val="7.7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2" borderId="0" xfId="0" applyFill="1" applyAlignment="1">
      <alignment horizontal="center"/>
    </xf>
    <xf numFmtId="1" fontId="0" fillId="2" borderId="0" xfId="0" applyNumberFormat="1" applyFill="1" applyAlignment="1">
      <alignment horizontal="center"/>
    </xf>
    <xf numFmtId="0" fontId="2" fillId="0" borderId="0" xfId="0" applyFont="1" applyAlignment="1">
      <alignment horizontal="right"/>
    </xf>
    <xf numFmtId="1" fontId="0" fillId="0" borderId="0" xfId="0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0" fillId="0" borderId="0" xfId="0" applyFont="1"/>
    <xf numFmtId="0" fontId="0" fillId="0" borderId="0" xfId="0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65" fontId="0" fillId="2" borderId="0" xfId="0" applyNumberFormat="1" applyFont="1" applyFill="1" applyAlignment="1">
      <alignment horizontal="center"/>
    </xf>
    <xf numFmtId="165" fontId="0" fillId="3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0" fillId="0" borderId="0" xfId="0" applyFill="1"/>
    <xf numFmtId="0" fontId="1" fillId="0" borderId="0" xfId="0" applyFont="1" applyFill="1" applyAlignment="1">
      <alignment horizontal="center"/>
    </xf>
    <xf numFmtId="165" fontId="0" fillId="0" borderId="0" xfId="0" applyNumberFormat="1" applyFont="1" applyFill="1" applyAlignment="1">
      <alignment horizontal="center"/>
    </xf>
    <xf numFmtId="165" fontId="0" fillId="5" borderId="0" xfId="0" applyNumberFormat="1" applyFill="1" applyAlignment="1">
      <alignment horizontal="center"/>
    </xf>
    <xf numFmtId="1" fontId="0" fillId="6" borderId="0" xfId="0" applyNumberFormat="1" applyFill="1" applyAlignment="1">
      <alignment horizontal="center"/>
    </xf>
    <xf numFmtId="0" fontId="0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1" fontId="0" fillId="2" borderId="0" xfId="0" applyNumberFormat="1" applyFont="1" applyFill="1" applyAlignment="1">
      <alignment horizontal="center"/>
    </xf>
    <xf numFmtId="1" fontId="0" fillId="3" borderId="0" xfId="0" applyNumberFormat="1" applyFont="1" applyFill="1" applyAlignment="1">
      <alignment horizontal="center"/>
    </xf>
    <xf numFmtId="1" fontId="0" fillId="0" borderId="0" xfId="0" applyNumberFormat="1" applyAlignment="1">
      <alignment horizontal="center"/>
    </xf>
    <xf numFmtId="1" fontId="7" fillId="7" borderId="0" xfId="0" applyNumberFormat="1" applyFont="1" applyFill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0" fillId="0" borderId="0" xfId="0" applyFill="1" applyAlignment="1">
      <alignment horizontal="center"/>
    </xf>
    <xf numFmtId="0" fontId="1" fillId="0" borderId="0" xfId="0" applyFont="1"/>
    <xf numFmtId="164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/>
    <xf numFmtId="0" fontId="1" fillId="0" borderId="0" xfId="0" applyFont="1" applyAlignment="1">
      <alignment vertical="center" wrapText="1"/>
    </xf>
    <xf numFmtId="1" fontId="9" fillId="0" borderId="0" xfId="0" applyNumberFormat="1" applyFont="1" applyAlignment="1">
      <alignment horizontal="left"/>
    </xf>
    <xf numFmtId="165" fontId="0" fillId="4" borderId="0" xfId="0" applyNumberFormat="1" applyFont="1" applyFill="1" applyAlignment="1">
      <alignment horizontal="center"/>
    </xf>
    <xf numFmtId="1" fontId="0" fillId="4" borderId="0" xfId="0" applyNumberFormat="1" applyFill="1" applyAlignment="1">
      <alignment horizontal="center"/>
    </xf>
    <xf numFmtId="1" fontId="0" fillId="4" borderId="0" xfId="0" applyNumberFormat="1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164" fontId="0" fillId="3" borderId="0" xfId="0" applyNumberFormat="1" applyFont="1" applyFill="1" applyAlignment="1">
      <alignment horizontal="center"/>
    </xf>
    <xf numFmtId="0" fontId="0" fillId="3" borderId="0" xfId="0" applyFill="1"/>
    <xf numFmtId="0" fontId="1" fillId="10" borderId="0" xfId="0" applyFont="1" applyFill="1" applyAlignment="1">
      <alignment horizontal="center"/>
    </xf>
    <xf numFmtId="0" fontId="0" fillId="10" borderId="0" xfId="0" applyFill="1" applyAlignment="1">
      <alignment horizontal="center"/>
    </xf>
    <xf numFmtId="0" fontId="0" fillId="10" borderId="0" xfId="0" applyFont="1" applyFill="1" applyAlignment="1">
      <alignment horizontal="center"/>
    </xf>
    <xf numFmtId="165" fontId="0" fillId="10" borderId="0" xfId="0" applyNumberFormat="1" applyFont="1" applyFill="1" applyAlignment="1">
      <alignment horizontal="center"/>
    </xf>
    <xf numFmtId="0" fontId="0" fillId="10" borderId="0" xfId="0" applyFill="1"/>
    <xf numFmtId="0" fontId="0" fillId="0" borderId="0" xfId="0" applyFill="1" applyBorder="1"/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" fontId="1" fillId="6" borderId="1" xfId="0" applyNumberFormat="1" applyFont="1" applyFill="1" applyBorder="1" applyAlignment="1">
      <alignment horizontal="center"/>
    </xf>
    <xf numFmtId="165" fontId="1" fillId="6" borderId="1" xfId="0" applyNumberFormat="1" applyFont="1" applyFill="1" applyBorder="1" applyAlignment="1">
      <alignment horizontal="center"/>
    </xf>
    <xf numFmtId="165" fontId="1" fillId="3" borderId="2" xfId="0" applyNumberFormat="1" applyFont="1" applyFill="1" applyBorder="1" applyAlignment="1">
      <alignment horizontal="center"/>
    </xf>
    <xf numFmtId="0" fontId="0" fillId="6" borderId="0" xfId="0" applyFill="1"/>
    <xf numFmtId="0" fontId="2" fillId="6" borderId="0" xfId="0" applyFont="1" applyFill="1" applyAlignment="1">
      <alignment horizontal="right"/>
    </xf>
    <xf numFmtId="0" fontId="3" fillId="0" borderId="0" xfId="0" applyFont="1" applyBorder="1" applyAlignment="1">
      <alignment horizontal="center"/>
    </xf>
    <xf numFmtId="0" fontId="4" fillId="6" borderId="0" xfId="0" applyFont="1" applyFill="1"/>
    <xf numFmtId="0" fontId="1" fillId="6" borderId="0" xfId="0" applyFont="1" applyFill="1" applyAlignment="1">
      <alignment horizontal="center"/>
    </xf>
    <xf numFmtId="0" fontId="0" fillId="8" borderId="0" xfId="0" applyFont="1" applyFill="1" applyAlignment="1">
      <alignment horizontal="center"/>
    </xf>
    <xf numFmtId="1" fontId="8" fillId="7" borderId="0" xfId="0" applyNumberFormat="1" applyFont="1" applyFill="1" applyAlignment="1">
      <alignment horizontal="center"/>
    </xf>
    <xf numFmtId="1" fontId="1" fillId="7" borderId="0" xfId="0" applyNumberFormat="1" applyFont="1" applyFill="1" applyAlignment="1">
      <alignment horizontal="center"/>
    </xf>
    <xf numFmtId="164" fontId="0" fillId="10" borderId="0" xfId="0" applyNumberFormat="1" applyFill="1" applyAlignment="1">
      <alignment horizontal="center"/>
    </xf>
    <xf numFmtId="164" fontId="1" fillId="10" borderId="0" xfId="0" applyNumberFormat="1" applyFont="1" applyFill="1" applyAlignment="1">
      <alignment horizontal="center"/>
    </xf>
    <xf numFmtId="1" fontId="1" fillId="0" borderId="0" xfId="0" applyNumberFormat="1" applyFont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1" fontId="0" fillId="10" borderId="0" xfId="0" applyNumberForma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165" fontId="0" fillId="0" borderId="0" xfId="0" applyNumberFormat="1"/>
    <xf numFmtId="165" fontId="9" fillId="0" borderId="0" xfId="0" applyNumberFormat="1" applyFont="1" applyAlignment="1">
      <alignment horizontal="center"/>
    </xf>
    <xf numFmtId="1" fontId="0" fillId="2" borderId="0" xfId="0" applyNumberFormat="1" applyFont="1" applyFill="1" applyBorder="1" applyAlignment="1">
      <alignment horizontal="center"/>
    </xf>
    <xf numFmtId="165" fontId="1" fillId="8" borderId="0" xfId="0" applyNumberFormat="1" applyFont="1" applyFill="1" applyBorder="1" applyAlignment="1">
      <alignment horizontal="center"/>
    </xf>
    <xf numFmtId="165" fontId="1" fillId="0" borderId="0" xfId="0" applyNumberFormat="1" applyFont="1" applyFill="1" applyBorder="1" applyAlignment="1">
      <alignment horizontal="center"/>
    </xf>
    <xf numFmtId="0" fontId="0" fillId="10" borderId="0" xfId="0" applyFill="1" applyBorder="1" applyAlignment="1">
      <alignment horizontal="center"/>
    </xf>
    <xf numFmtId="1" fontId="0" fillId="10" borderId="0" xfId="0" applyNumberFormat="1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0" fillId="9" borderId="0" xfId="0" applyNumberFormat="1" applyFont="1" applyFill="1" applyBorder="1" applyAlignment="1">
      <alignment horizontal="center" vertical="center"/>
    </xf>
    <xf numFmtId="0" fontId="0" fillId="9" borderId="0" xfId="0" applyFont="1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J54"/>
  <sheetViews>
    <sheetView tabSelected="1" zoomScale="85" zoomScaleNormal="85" workbookViewId="0">
      <selection activeCell="G32" sqref="G32"/>
    </sheetView>
  </sheetViews>
  <sheetFormatPr defaultRowHeight="14.4" x14ac:dyDescent="0.3"/>
  <cols>
    <col min="1" max="1" width="17.33203125" style="35" customWidth="1"/>
    <col min="2" max="2" width="18.44140625" style="35" customWidth="1"/>
    <col min="3" max="3" width="18.33203125" style="35" customWidth="1"/>
    <col min="4" max="4" width="19.33203125" style="35" customWidth="1"/>
    <col min="5" max="5" width="16.5546875" style="35" customWidth="1"/>
    <col min="6" max="6" width="13.109375" style="35" customWidth="1"/>
    <col min="7" max="9" width="10.44140625" style="35" customWidth="1"/>
    <col min="10" max="12" width="10.6640625" style="35" customWidth="1"/>
    <col min="13" max="13" width="16.109375" style="35" customWidth="1"/>
    <col min="14" max="14" width="14" style="35" customWidth="1"/>
    <col min="15" max="16384" width="8.88671875" style="35"/>
  </cols>
  <sheetData>
    <row r="2" spans="1:62" s="61" customFormat="1" x14ac:dyDescent="0.3">
      <c r="A2" s="82" t="s">
        <v>2</v>
      </c>
      <c r="B2" s="82"/>
      <c r="C2" s="82"/>
    </row>
    <row r="3" spans="1:62" ht="17.25" customHeight="1" x14ac:dyDescent="0.3">
      <c r="E3" s="83" t="s">
        <v>25</v>
      </c>
      <c r="K3" s="84" t="s">
        <v>33</v>
      </c>
      <c r="L3" s="84" t="s">
        <v>34</v>
      </c>
      <c r="M3" s="84" t="s">
        <v>37</v>
      </c>
      <c r="N3" s="84" t="s">
        <v>38</v>
      </c>
      <c r="O3" s="84" t="s">
        <v>37</v>
      </c>
      <c r="P3" s="84" t="s">
        <v>38</v>
      </c>
      <c r="Q3" s="84" t="s">
        <v>53</v>
      </c>
      <c r="R3" s="84" t="s">
        <v>57</v>
      </c>
    </row>
    <row r="4" spans="1:62" ht="17.25" customHeight="1" x14ac:dyDescent="0.3">
      <c r="E4" s="83"/>
      <c r="F4" s="76"/>
      <c r="K4" s="84"/>
      <c r="L4" s="84"/>
      <c r="M4" s="84"/>
      <c r="N4" s="84"/>
      <c r="O4" s="84"/>
      <c r="P4" s="84"/>
      <c r="Q4" s="84"/>
      <c r="R4" s="84"/>
    </row>
    <row r="5" spans="1:62" ht="16.8" thickBot="1" x14ac:dyDescent="0.35">
      <c r="A5" s="37"/>
      <c r="B5" s="37" t="s">
        <v>1</v>
      </c>
      <c r="C5" s="37" t="s">
        <v>0</v>
      </c>
      <c r="D5" s="37" t="s">
        <v>22</v>
      </c>
      <c r="E5" s="37" t="s">
        <v>23</v>
      </c>
      <c r="F5" s="76"/>
      <c r="G5" s="37" t="s">
        <v>31</v>
      </c>
      <c r="H5" s="63" t="s">
        <v>35</v>
      </c>
      <c r="J5" s="37" t="s">
        <v>32</v>
      </c>
      <c r="K5" s="84"/>
      <c r="L5" s="84"/>
      <c r="M5" s="84"/>
      <c r="N5" s="84"/>
      <c r="O5" s="84"/>
      <c r="P5" s="84"/>
      <c r="Q5" s="84"/>
      <c r="R5" s="84"/>
    </row>
    <row r="6" spans="1:62" ht="15" thickBot="1" x14ac:dyDescent="0.35">
      <c r="A6" s="8" t="s">
        <v>4</v>
      </c>
      <c r="B6" s="56">
        <v>40</v>
      </c>
      <c r="C6" s="1">
        <v>1000</v>
      </c>
      <c r="D6" s="25">
        <f>C6*B6</f>
        <v>40000</v>
      </c>
      <c r="E6" s="25">
        <f>C6*B6*(B6/2)</f>
        <v>800000</v>
      </c>
      <c r="F6" s="76"/>
      <c r="G6" s="85">
        <f>MAX(E32:E33)</f>
        <v>0.7</v>
      </c>
      <c r="H6" s="87">
        <v>1.3</v>
      </c>
      <c r="J6" s="25">
        <v>0.6</v>
      </c>
      <c r="K6" s="58">
        <f>11000</f>
        <v>11000</v>
      </c>
      <c r="L6" s="58">
        <f>690</f>
        <v>690</v>
      </c>
      <c r="M6" s="10">
        <f>K6/(1+J6)</f>
        <v>6875</v>
      </c>
      <c r="N6" s="10">
        <f>L6/(1+J6)</f>
        <v>431.25</v>
      </c>
      <c r="O6" s="10">
        <f>K6/(1+D32*J6)</f>
        <v>6875</v>
      </c>
      <c r="P6" s="10">
        <f>L6/(1+D32*J6)</f>
        <v>431.25</v>
      </c>
      <c r="Q6" s="59">
        <v>21</v>
      </c>
      <c r="R6" s="10">
        <f>Q6*G6/H6</f>
        <v>11.307692307692307</v>
      </c>
    </row>
    <row r="7" spans="1:62" s="49" customFormat="1" ht="15" thickBot="1" x14ac:dyDescent="0.35">
      <c r="A7" s="9" t="s">
        <v>5</v>
      </c>
      <c r="B7" s="56">
        <f>hci</f>
        <v>40</v>
      </c>
      <c r="C7" s="21">
        <v>1000</v>
      </c>
      <c r="D7" s="24">
        <f>C7*B7</f>
        <v>40000</v>
      </c>
      <c r="E7" s="24">
        <f>C7*B7*(B6+B7/2)</f>
        <v>2400000</v>
      </c>
      <c r="F7" s="76"/>
      <c r="G7" s="86"/>
      <c r="H7" s="87"/>
      <c r="I7" s="35"/>
      <c r="J7" s="24">
        <v>2.2999999999999998</v>
      </c>
      <c r="K7" s="58">
        <v>370</v>
      </c>
      <c r="L7" s="58">
        <v>69</v>
      </c>
      <c r="M7" s="11">
        <f t="shared" ref="M7:M10" si="0">K7/(1+J7)</f>
        <v>112.12121212121212</v>
      </c>
      <c r="N7" s="11">
        <f t="shared" ref="N7:N10" si="1">L7/(1+J7)</f>
        <v>20.90909090909091</v>
      </c>
      <c r="O7" s="11">
        <f>K7/(1+D32*J7)</f>
        <v>112.12121212121212</v>
      </c>
      <c r="P7" s="11">
        <f>L7/(1+D32*J7)</f>
        <v>20.90909090909091</v>
      </c>
      <c r="Q7" s="11" t="s">
        <v>36</v>
      </c>
      <c r="R7" s="48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</row>
    <row r="8" spans="1:62" s="54" customFormat="1" ht="15" thickBot="1" x14ac:dyDescent="0.35">
      <c r="A8" s="50" t="s">
        <v>6</v>
      </c>
      <c r="B8" s="56">
        <v>30</v>
      </c>
      <c r="C8" s="51">
        <v>1000</v>
      </c>
      <c r="D8" s="52">
        <f>C8*B8</f>
        <v>30000</v>
      </c>
      <c r="E8" s="52">
        <f>C8*B8*(B6+B7+B8/2)</f>
        <v>2850000</v>
      </c>
      <c r="F8" s="76"/>
      <c r="G8" s="86"/>
      <c r="H8" s="87"/>
      <c r="I8" s="35"/>
      <c r="J8" s="52">
        <v>7</v>
      </c>
      <c r="K8" s="53">
        <v>3.8109999999999999</v>
      </c>
      <c r="L8" s="53">
        <v>3.012</v>
      </c>
      <c r="M8" s="53">
        <f t="shared" si="0"/>
        <v>0.47637499999999999</v>
      </c>
      <c r="N8" s="53">
        <f t="shared" si="1"/>
        <v>0.3765</v>
      </c>
      <c r="O8" s="53">
        <f>K8/(1+D32*L8)</f>
        <v>0.9499002991026918</v>
      </c>
      <c r="P8" s="53">
        <f>L8/(1+D32*J8)</f>
        <v>0.3765</v>
      </c>
      <c r="Q8" s="53" t="s">
        <v>36</v>
      </c>
      <c r="R8" s="52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</row>
    <row r="9" spans="1:62" s="49" customFormat="1" x14ac:dyDescent="0.3">
      <c r="A9" s="9" t="s">
        <v>7</v>
      </c>
      <c r="B9" s="45">
        <f>hqu</f>
        <v>40</v>
      </c>
      <c r="C9" s="21">
        <v>1000</v>
      </c>
      <c r="D9" s="24">
        <f>C9*B9</f>
        <v>40000</v>
      </c>
      <c r="E9" s="24">
        <f>C9*B9*(B6+B7+B8+B9/2)</f>
        <v>5200000</v>
      </c>
      <c r="F9" s="76"/>
      <c r="G9" s="86"/>
      <c r="H9" s="87"/>
      <c r="I9" s="35"/>
      <c r="J9" s="24">
        <f>J7</f>
        <v>2.2999999999999998</v>
      </c>
      <c r="K9" s="11">
        <f>K7</f>
        <v>370</v>
      </c>
      <c r="L9" s="11">
        <f>L7</f>
        <v>69</v>
      </c>
      <c r="M9" s="11">
        <f t="shared" si="0"/>
        <v>112.12121212121212</v>
      </c>
      <c r="N9" s="11">
        <f t="shared" si="1"/>
        <v>20.90909090909091</v>
      </c>
      <c r="O9" s="11">
        <f>K9/(1+D32*J9)</f>
        <v>112.12121212121212</v>
      </c>
      <c r="P9" s="11">
        <f>L9/(1+D32*J9)</f>
        <v>20.90909090909091</v>
      </c>
      <c r="Q9" s="11" t="s">
        <v>36</v>
      </c>
      <c r="R9" s="24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</row>
    <row r="10" spans="1:62" x14ac:dyDescent="0.3">
      <c r="A10" s="8" t="s">
        <v>8</v>
      </c>
      <c r="B10" s="44">
        <f>hci</f>
        <v>40</v>
      </c>
      <c r="C10" s="1">
        <v>1000</v>
      </c>
      <c r="D10" s="25">
        <f>C10*B10</f>
        <v>40000</v>
      </c>
      <c r="E10" s="1">
        <f>C10*B10*(B6+B7+B8+B9+B10/2)</f>
        <v>6800000</v>
      </c>
      <c r="F10" s="76"/>
      <c r="G10" s="86"/>
      <c r="H10" s="87"/>
      <c r="J10" s="25">
        <f>J6</f>
        <v>0.6</v>
      </c>
      <c r="K10" s="10">
        <f>K6</f>
        <v>11000</v>
      </c>
      <c r="L10" s="10">
        <f>L6</f>
        <v>690</v>
      </c>
      <c r="M10" s="10">
        <f t="shared" si="0"/>
        <v>6875</v>
      </c>
      <c r="N10" s="10">
        <f t="shared" si="1"/>
        <v>431.25</v>
      </c>
      <c r="O10" s="10">
        <f>K10/(1+D32*J10)</f>
        <v>6875</v>
      </c>
      <c r="P10" s="10">
        <f>L10/(1+D32*J10)</f>
        <v>431.25</v>
      </c>
      <c r="Q10" s="10">
        <f>Q6</f>
        <v>21</v>
      </c>
      <c r="R10" s="10">
        <f>R6</f>
        <v>11.307692307692307</v>
      </c>
    </row>
    <row r="11" spans="1:62" ht="15" thickBot="1" x14ac:dyDescent="0.35">
      <c r="F11" s="75"/>
    </row>
    <row r="12" spans="1:62" ht="15" customHeight="1" thickBot="1" x14ac:dyDescent="0.35">
      <c r="B12" s="31" t="s">
        <v>40</v>
      </c>
      <c r="C12" s="58">
        <v>3000</v>
      </c>
      <c r="D12" s="35" t="s">
        <v>10</v>
      </c>
      <c r="E12" s="4"/>
    </row>
    <row r="13" spans="1:62" x14ac:dyDescent="0.3">
      <c r="B13" s="31" t="s">
        <v>24</v>
      </c>
      <c r="C13" s="66">
        <f>SUM(B6:B10)</f>
        <v>190</v>
      </c>
      <c r="D13" s="35" t="s">
        <v>10</v>
      </c>
      <c r="G13" s="39"/>
    </row>
    <row r="14" spans="1:62" x14ac:dyDescent="0.3">
      <c r="B14" s="31" t="s">
        <v>18</v>
      </c>
      <c r="C14" s="5">
        <f>C6</f>
        <v>1000</v>
      </c>
      <c r="D14" s="35" t="s">
        <v>10</v>
      </c>
      <c r="G14" s="39"/>
    </row>
    <row r="15" spans="1:62" x14ac:dyDescent="0.3">
      <c r="A15" s="30"/>
      <c r="B15" s="31" t="s">
        <v>27</v>
      </c>
      <c r="C15" s="16">
        <f>(M6*E6+M7*E7+M8*E8+M9*E9+M10*E10)/(M6*B6*C6+M7*B7*C7+M8*B8*C8+M9*B9*C9+M10*B10*C10)</f>
        <v>95</v>
      </c>
      <c r="D15" s="35" t="s">
        <v>10</v>
      </c>
    </row>
    <row r="16" spans="1:62" x14ac:dyDescent="0.3">
      <c r="A16" s="22"/>
      <c r="B16" s="31"/>
      <c r="C16" s="31"/>
    </row>
    <row r="17" spans="1:16" s="61" customFormat="1" x14ac:dyDescent="0.3">
      <c r="A17" s="82" t="s">
        <v>3</v>
      </c>
      <c r="B17" s="82"/>
      <c r="C17" s="82"/>
      <c r="D17" s="62"/>
    </row>
    <row r="18" spans="1:16" x14ac:dyDescent="0.3">
      <c r="A18" s="18"/>
      <c r="B18" s="18" t="s">
        <v>12</v>
      </c>
      <c r="C18" s="18" t="s">
        <v>9</v>
      </c>
      <c r="D18" s="18" t="s">
        <v>14</v>
      </c>
    </row>
    <row r="19" spans="1:16" x14ac:dyDescent="0.3">
      <c r="A19" s="18"/>
      <c r="B19" s="18" t="s">
        <v>13</v>
      </c>
      <c r="C19" s="36" t="s">
        <v>19</v>
      </c>
      <c r="D19" s="18" t="s">
        <v>15</v>
      </c>
    </row>
    <row r="20" spans="1:16" ht="16.2" x14ac:dyDescent="0.3">
      <c r="A20" s="36"/>
      <c r="B20" s="37" t="s">
        <v>11</v>
      </c>
      <c r="C20" s="37" t="s">
        <v>20</v>
      </c>
      <c r="D20" s="19" t="s">
        <v>21</v>
      </c>
      <c r="E20" s="19" t="s">
        <v>21</v>
      </c>
      <c r="G20" s="33"/>
      <c r="H20" s="33"/>
      <c r="I20" s="33"/>
      <c r="N20" s="33"/>
    </row>
    <row r="21" spans="1:16" x14ac:dyDescent="0.3">
      <c r="A21" s="8" t="s">
        <v>4</v>
      </c>
      <c r="B21" s="10">
        <f>ABS(C15-B6/2)</f>
        <v>75</v>
      </c>
      <c r="C21" s="2">
        <f>C6*B6^3/12+D6*B21^2</f>
        <v>230333333.33333334</v>
      </c>
      <c r="D21" s="26">
        <f>C21*M6</f>
        <v>1583541666666.6667</v>
      </c>
    </row>
    <row r="22" spans="1:16" x14ac:dyDescent="0.3">
      <c r="A22" s="9" t="s">
        <v>5</v>
      </c>
      <c r="B22" s="11">
        <f>ABS(C15-B6-B7/2)</f>
        <v>35</v>
      </c>
      <c r="C22" s="20">
        <f>C7*B7^3/12+D7*B22^2</f>
        <v>54333333.333333336</v>
      </c>
      <c r="D22" s="27">
        <f>C22*M7</f>
        <v>6091919191.9191923</v>
      </c>
      <c r="G22" s="33"/>
      <c r="H22" s="33"/>
      <c r="I22" s="33"/>
    </row>
    <row r="23" spans="1:16" x14ac:dyDescent="0.3">
      <c r="A23" s="46" t="s">
        <v>6</v>
      </c>
      <c r="B23" s="41">
        <f>ABS(C15-B6-B7-B8/2)</f>
        <v>0</v>
      </c>
      <c r="C23" s="42">
        <f>C8*B8^3/12+D8*B23^2</f>
        <v>2250000</v>
      </c>
      <c r="D23" s="43">
        <f>C23*M8</f>
        <v>1071843.75</v>
      </c>
    </row>
    <row r="24" spans="1:16" x14ac:dyDescent="0.3">
      <c r="A24" s="9" t="s">
        <v>7</v>
      </c>
      <c r="B24" s="11">
        <f>ABS(C15-B6-B7-B8-B9/2)</f>
        <v>35</v>
      </c>
      <c r="C24" s="20">
        <f>C9*B9^3/12+D9*B24^2</f>
        <v>54333333.333333336</v>
      </c>
      <c r="D24" s="27">
        <f>C24*M9</f>
        <v>6091919191.9191923</v>
      </c>
      <c r="F24" s="31"/>
      <c r="J24" s="36"/>
      <c r="K24" s="36"/>
      <c r="L24" s="36"/>
      <c r="O24" s="34"/>
    </row>
    <row r="25" spans="1:16" x14ac:dyDescent="0.3">
      <c r="A25" s="8" t="s">
        <v>8</v>
      </c>
      <c r="B25" s="10">
        <f>ABS(C15-B6-B7-B8-B9-B10/2)</f>
        <v>75</v>
      </c>
      <c r="C25" s="2">
        <f>C10*B10^3/12+D10*B25^2</f>
        <v>230333333.33333334</v>
      </c>
      <c r="D25" s="26">
        <f>C25*M10</f>
        <v>1583541666666.6667</v>
      </c>
      <c r="E25" s="36"/>
      <c r="F25" s="40"/>
      <c r="J25" s="31"/>
      <c r="K25" s="31"/>
      <c r="L25" s="31"/>
      <c r="O25" s="34"/>
    </row>
    <row r="26" spans="1:16" s="13" customFormat="1" ht="15.6" x14ac:dyDescent="0.35">
      <c r="A26" s="14"/>
      <c r="B26" s="32"/>
      <c r="D26" s="68">
        <f>SUM(D21:D25)</f>
        <v>3179268243560.9219</v>
      </c>
      <c r="E26" s="28" t="s">
        <v>26</v>
      </c>
      <c r="F26" s="67">
        <f>60*gci*gdo*gqu*gtr*gum*kclt^2/(b*(8*h^5*etr^2*gci*gdo*gqu*gum-40*h^4*(n*etr-edo*hdo+etr*(hdo+hum)-eum*hum)*etr*gci*gdo*gqu*gum+20*h^3*(4*n^2*etr^2-8*n*(edo*hdo-etr*(hdo+hum)+eum*hum)*etr+3*edo^2*hdo^2-edo*(etr*(7*hdo+8*hum)-6*eum*hum)*hdo+4*etr^2*(hdo^2+2*hdo*hum+hum^2)-etr*eum*(6*hdo+7*hum)*hum+3*eum^2*hum^2)*gci*gdo*gqu*gum-20*h^2*(4*n^3*etr^2*gdo*gum-12*n^2*(edo*hdo-etr*(hdo+hum)+eum*hum)*etr*gdo*gum+3*n*(3*edo^2*hdo^2-edo*(etr*(7*hdo+8*hum)-6*eum*hum)*hdo+4*etr^2*(hdo^2+2*hdo*hum+hum^2)-etr*eum*(6*hdo+7*hum)*hum+3*eum^2*hum^2)*gdo*gum+edo^2*(3*gdo*(2*hdo+3*hum)-gtr*hdo)*gum*hdo^2-3*edo*(etr*gdo*(3*hdo^2+7*hdo*hum+4*hum^2)-eum*(gdo*(3*hdo+5*hum)-gtr*hdo)*hum)*gum*hdo+4*etr^2*gdo*gum*(hdo+hum)*(hdo^2+2*hdo*hum+hum^2)-3*etr*eum*gdo*gum*(2*hdo^2+5*hdo*hum+3*hum^2)*hum-eum^2*(gdo*(gtr*hum-3*gum*(hdo+2*hum))+3*gtr*gum*hdo)*hum^2)*gci*gqu+5*h*(8*n^4*etr^2*gdo*gum-32*n^3*(edo*hdo-etr*(hdo+hum)+eum*hum)*etr*gdo*gum+12*n^2*(3*edo^2*hdo^2-edo*(etr*(7*hdo+8*hum)-6*eum*hum)*hdo+4*etr^2*(hdo^2+2*hdo*hum+hum^2)-etr*eum*(6*hdo+7*hum)*hum+3*eum^2*hum^2)*gdo*gum+8*n*(edo^2*(3*gdo*(2*hdo+3*hum)-gtr*hdo)*gum*hdo^2-3*edo*(etr*gdo*(3*hdo^2+7*hdo*hum+4*hum^2)-eum*(gdo*(3*hdo+5*hum)-gtr*hdo)*hum)*gum*hdo+4*etr^2*gdo*gum*(hdo+hum)*(hdo^2+2*hdo*hum+hum^2)-3*etr*eum*gdo*gum*(2*hdo^2+5*hdo*hum+3*hum^2)*hum-eum^2*(gdo*(gtr*hum-3*gum*(hdo+2*hum))+3*gtr*gum*hdo)*hum^2)+edo^2*(3*gdo*(hdo+2*hum)*(5*hdo+6*hum)-gtr*hdo*(3*hdo+8*hum))*gum*hdo^2-2*edo*(2*etr*gdo*(5*hdo^3+18*hdo^2*hum+21*hdo*hum^2+8*hum^3)-eum*(3*gdo*(2*hdo^2+9*hdo*hum+8*hum^2)-gtr*hdo*(2*hdo+9*hum))*hum)*gum*hdo+8*etr^2*gdo*gum*(hdo^2+2*hdo*hum+hum^2)^2-4*etr*eum*gdo*gum*(2*hdo^3+9*hdo^2*hum+12*hdo*hum^2+5*hum^3)*hum-3*eum^2*(gdo*(gtr*hum-gum*(4*hdo+5*hum))+4*gtr*gum*hdo)*hum^3)*gci*gqu+40*n^4*(eci*hci+edo*hdo+equ*hqu-etr*(hci+hdo+hqu+hum)+eum*hum)*etr*gci*gdo*gqu*gum+20*n^3*(3*eci^2*hci^2+eci*(6*equ*hqu-etr*(7*hci+6*hqu))*hci-3*edo^2*hdo^2+edo*(etr*(7*hdo+8*hum)-6*eum*hum)*hdo+3*equ^2*hqu^2-equ*etr*(8*hci+7*hqu)*hqu+4*etr^2*(hci^2+2*hci*hqu-hdo^2-2*hdo*hum+hqu^2-hum^2)+etr*eum*(6*hdo+7*hum)*hum-3*eum^2*hum^2)*gci*gdo*gqu*gum-20*n^2*(eci^2*(3*gci*(gqu*(2*hci+hqu)-gtr*hqu)-gqu*gtr*hci)*gdo*gum*hci^2+3*eci*(equ*(gqu*(5*hci+3*hqu)-gtr*hqu)*hqu-etr*gqu*(3*hci^2+5*hci*hqu+2*hqu^2))*gci*gdo*gum*hci+(edo^2*(3*gdo*(2*hdo+3*hum)-gtr*hdo)*gqu*gum*hdo^2-3*edo*(etr*gdo*(3*hdo^2+7*hdo*hum+4*hum^2)-eum*(gdo*(3*hdo+5*hum)-gtr*hdo)*hum)*gqu*gum*hdo+equ^2*gdo*(3*gqu*(3*hci+2*hqu)-gtr*hqu)*gum*hqu^2-3*equ*etr*gdo*gqu*gum*(4*hci^2+7*hci*hqu+3*hqu^2)*hqu+(4*etr^2*gdo*gum*(hci^3+3*hci^2*hqu+3*hci*hqu^2+hdo^3+3*hdo^2*hum+3*hdo*hum^2+hqu^3+hum^3)-3*etr*eum*gdo*gum*(2*hdo^2+5*hdo*hum+3*hum^2)*hum-eum^2*(gdo*(gtr*hum-3*gum*(hdo+2*hum))+3*gtr*gum*hdo)*hum^2)*gqu)*gci)+5*n*(3*eci^2*(gci*(gqu*(5*hci+4*hqu)-4*gtr*hqu)-gqu*gtr*hci)*gdo*gum*hci^3+2*eci*(equ*(3*gqu*(8*hci^2+9*hci*hqu+2*hqu^2)-gtr*(9*hci+2*hqu)*hqu)*hqu-2*etr*gqu*(5*hci^3+12*hci^2*hqu+9*hci*hqu^2+2*hqu^3))*gci*gdo*gum*hci-(edo^2*(3*gdo*(hdo+2*hum)*(5*hdo+6*hum)-gtr*hdo*(3*hdo+8*hum))*gqu*gum*hdo^2-2*edo*(2*etr*gdo*(5*hdo^3+18*hdo^2*hum+21*hdo*hum^2+8*hum^3)-eum*(3*gdo*(2*hdo^2+9*hdo*hum+8*hum^2)-gtr*hdo*(2*hdo+9*hum))*hum)*gqu*gum*hdo-equ^2*gdo*(3*gqu*(2*hci+hqu)*(6*hci+5*hqu)-gtr*(8*hci+3*hqu)*hqu)*gum*hqu^2+4*equ*etr*gdo*gqu*gum*(8*hci^3+21*hci^2*hqu+18*hci*hqu^2+5*hqu^3)*hqu-(8*etr^2*gdo*gum*(hci^4+4*hci^3*hqu+6*hci^2*hqu^2+4*hci*hqu^3-hdo^4-4*hdo^3*hum-6*hdo^2*hum^2-4*hdo*hum^3+hqu^4-hum^4)+4*etr*eum*gdo*gum*(2*hdo^3+9*hdo^2*hum+12*hdo*hum^2+5*hum^3)*hum+3*eum^2*(gdo*(gtr*hum-gum*(4*hdo+5*hum))+4*gtr*gum*hdo)*hum^3)*gqu)*gci)-3*eci^2*(5*gci*(gqu*(hci+hqu)-gtr*hqu)-gqu*gtr*hci)*gdo*gum*hci^4-10*eci*(equ*(3*gqu*(hci+hqu)*(2*hci+hqu)-gtr*(3*hci+hqu)*hqu)*hqu-2*etr*gqu*(hci+hqu)*(hci^2+2*hci*hqu+hqu^2))*gci*gdo*gum*hci^2-(edo^2*(15*gdo*(hdo+hum)*(hdo+2*hum)^2-gtr*hdo*(3*hdo^2+15*hdo*hum+20*hum^2))*gqu*gum*hdo^2-10*edo*(2*etr*gdo*(hdo+hum)*(hdo+2*hum)*(hdo^2+2*hdo*hum+hum^2)-eum*(3*gdo*(hdo+hum)*(hdo+2*hum)-gtr*hdo*(hdo+3*hum))*hum^2)*gqu*gum*hdo+equ^2*gdo*(15*gqu*(hci+hqu)*(2*hci+hqu)^2-gtr*(20*hci^2+15*hci*hqu+3*hqu^2)*hqu)*gum*hqu^2-20*equ*etr*gdo*gqu*gum*(hci+hqu)*(2*hci+hqu)*(hci^2+2*hci*hqu+hqu^2)*hqu+(8*etr^2*gdo*gum*(hci^5+5*hci^4*hqu+10*hci^3*hqu^2+10*hci^2*hqu^3+5*hci*hqu^4+hdo^5+5*hdo^4*hum+10*hdo^3*hum^2+10*hdo^2*hum^3+5*hdo*hum^4+hqu^5+hum^5)-20*etr*eum*gdo*gum*(hdo+hum)*(hdo^2+2*hdo*hum+hum^2)*hum^2-3*eum^2*(gdo*(gtr*hum-5*gum*(hdo+hum))+5*gtr*gum*hdo)*hum^4)*gqu)*gci))</f>
        <v>280101.19340267812</v>
      </c>
      <c r="J26" s="12"/>
      <c r="K26" s="12"/>
      <c r="L26" s="12"/>
      <c r="N26" s="35"/>
      <c r="O26" s="34"/>
      <c r="P26" s="35"/>
    </row>
    <row r="27" spans="1:16" s="13" customFormat="1" ht="15.6" x14ac:dyDescent="0.35">
      <c r="A27" s="14"/>
      <c r="B27" s="12"/>
      <c r="D27" s="28" t="s">
        <v>30</v>
      </c>
      <c r="E27" s="35"/>
      <c r="F27" s="15"/>
      <c r="G27" s="7"/>
      <c r="H27" s="7"/>
      <c r="I27" s="7"/>
    </row>
    <row r="29" spans="1:16" s="61" customFormat="1" x14ac:dyDescent="0.3">
      <c r="A29" s="82" t="s">
        <v>28</v>
      </c>
      <c r="B29" s="82"/>
      <c r="C29" s="82"/>
    </row>
    <row r="30" spans="1:16" s="13" customFormat="1" x14ac:dyDescent="0.3">
      <c r="A30" s="14"/>
      <c r="B30" s="14"/>
      <c r="C30" s="14"/>
    </row>
    <row r="31" spans="1:16" ht="15" thickBot="1" x14ac:dyDescent="0.35">
      <c r="B31" s="37"/>
      <c r="D31" s="23" t="s">
        <v>60</v>
      </c>
      <c r="E31" s="37" t="s">
        <v>31</v>
      </c>
    </row>
    <row r="32" spans="1:16" ht="16.2" thickBot="1" x14ac:dyDescent="0.4">
      <c r="A32" s="31" t="s">
        <v>41</v>
      </c>
      <c r="B32" s="59">
        <v>30</v>
      </c>
      <c r="D32" s="78">
        <v>1</v>
      </c>
      <c r="E32" s="59">
        <v>0.6</v>
      </c>
    </row>
    <row r="33" spans="1:5" ht="16.2" thickBot="1" x14ac:dyDescent="0.4">
      <c r="A33" s="31" t="s">
        <v>42</v>
      </c>
      <c r="B33" s="59">
        <v>30</v>
      </c>
      <c r="C33" s="23"/>
      <c r="D33" s="79" t="s">
        <v>36</v>
      </c>
      <c r="E33" s="59">
        <v>0.7</v>
      </c>
    </row>
    <row r="34" spans="1:5" x14ac:dyDescent="0.3">
      <c r="A34" s="31" t="s">
        <v>59</v>
      </c>
      <c r="B34" s="77">
        <f>(1.35*(B32+650*0.00981*(D6+D7+D9+D10)*C12*10^-9+40*0.00981*(D8)*C12*10^-9)+1.5*B33)*1000</f>
        <v>89679.6486</v>
      </c>
      <c r="C34" s="38" t="s">
        <v>17</v>
      </c>
    </row>
    <row r="35" spans="1:5" x14ac:dyDescent="0.3">
      <c r="A35" s="31"/>
      <c r="B35" s="31"/>
    </row>
    <row r="36" spans="1:5" s="61" customFormat="1" x14ac:dyDescent="0.3">
      <c r="A36" s="82" t="s">
        <v>45</v>
      </c>
      <c r="B36" s="82"/>
      <c r="C36" s="82"/>
    </row>
    <row r="37" spans="1:5" x14ac:dyDescent="0.3">
      <c r="A37" s="31"/>
      <c r="B37" s="31"/>
    </row>
    <row r="38" spans="1:5" ht="16.8" x14ac:dyDescent="0.35">
      <c r="A38" s="14" t="s">
        <v>44</v>
      </c>
      <c r="B38" s="70">
        <f>B34/(D6+D10)</f>
        <v>1.1209956075</v>
      </c>
    </row>
    <row r="39" spans="1:5" x14ac:dyDescent="0.3">
      <c r="A39" s="31"/>
      <c r="B39" s="31"/>
    </row>
    <row r="40" spans="1:5" s="61" customFormat="1" x14ac:dyDescent="0.3">
      <c r="A40" s="82" t="s">
        <v>43</v>
      </c>
      <c r="B40" s="82"/>
      <c r="C40" s="82"/>
      <c r="D40" s="64"/>
    </row>
    <row r="42" spans="1:5" ht="15.6" x14ac:dyDescent="0.35">
      <c r="A42" s="37" t="s">
        <v>46</v>
      </c>
      <c r="B42" s="80">
        <v>1</v>
      </c>
    </row>
    <row r="43" spans="1:5" ht="16.8" x14ac:dyDescent="0.35">
      <c r="A43" s="71" t="s">
        <v>48</v>
      </c>
      <c r="B43" s="51">
        <f>Inst!kclt</f>
        <v>2649391090827.3711</v>
      </c>
    </row>
    <row r="44" spans="1:5" ht="16.8" x14ac:dyDescent="0.35">
      <c r="A44" s="71" t="s">
        <v>49</v>
      </c>
      <c r="B44" s="73">
        <f>Inst!F26</f>
        <v>233417.05681155474</v>
      </c>
    </row>
    <row r="45" spans="1:5" ht="15.6" x14ac:dyDescent="0.35">
      <c r="A45" s="14" t="s">
        <v>47</v>
      </c>
      <c r="B45" s="81">
        <f>PI()^2*B43/(B42*C12)^2*1/(1+PI()^2/(B42*C12)^2*B43/B44)</f>
        <v>216058.98011816596</v>
      </c>
    </row>
    <row r="46" spans="1:5" ht="15.6" x14ac:dyDescent="0.35">
      <c r="A46" s="14" t="s">
        <v>52</v>
      </c>
      <c r="B46" s="69">
        <f>SQRT((D6+D10)*Q6/B45)</f>
        <v>2.7884860745287399</v>
      </c>
    </row>
    <row r="47" spans="1:5" ht="15.6" x14ac:dyDescent="0.35">
      <c r="A47" s="74" t="s">
        <v>54</v>
      </c>
      <c r="B47" s="51">
        <v>0.2</v>
      </c>
    </row>
    <row r="48" spans="1:5" x14ac:dyDescent="0.3">
      <c r="A48" s="74" t="s">
        <v>55</v>
      </c>
      <c r="B48" s="69">
        <f>0.5*(1+B47*(B46-0.3)+B46^2)</f>
        <v>4.6366759013732244</v>
      </c>
    </row>
    <row r="49" spans="1:4" ht="16.2" thickBot="1" x14ac:dyDescent="0.4">
      <c r="A49" s="74" t="s">
        <v>56</v>
      </c>
      <c r="B49" s="69">
        <f>MIN(1,1/(B48+SQRT(B48^2-B46^2)))</f>
        <v>0.11988758335195047</v>
      </c>
    </row>
    <row r="50" spans="1:4" ht="15" thickBot="1" x14ac:dyDescent="0.35">
      <c r="A50" s="74" t="s">
        <v>58</v>
      </c>
      <c r="B50" s="69">
        <f>B38/(B49*R6)</f>
        <v>0.8269051990009515</v>
      </c>
      <c r="D50" s="57" t="str">
        <f>IF(1&lt;B50,"NÃO VERIFICA","OK")</f>
        <v>OK</v>
      </c>
    </row>
    <row r="52" spans="1:4" s="61" customFormat="1" x14ac:dyDescent="0.3">
      <c r="B52" s="65" t="s">
        <v>39</v>
      </c>
    </row>
    <row r="54" spans="1:4" x14ac:dyDescent="0.3">
      <c r="B54" s="88" t="s">
        <v>43</v>
      </c>
      <c r="C54" s="89"/>
      <c r="D54" s="60" t="str">
        <f>D50</f>
        <v>OK</v>
      </c>
    </row>
  </sheetData>
  <sheetProtection algorithmName="SHA-512" hashValue="bM30/tBZE6PNV0trpzbpmJuCn8pk6aMO/fhKzxVqKqaVJNeUGibU5xafjWtlJ6f5a0E6AzXxrXoCXJxZk7yZzQ==" saltValue="X8GHWLfg0bLOSUHKendYHA==" spinCount="100000" sheet="1" objects="1" scenarios="1"/>
  <protectedRanges>
    <protectedRange sqref="E32:E33" name="Intervalo6"/>
    <protectedRange sqref="Q6" name="Intervalo4"/>
    <protectedRange sqref="C12" name="Intervalo2"/>
    <protectedRange sqref="B6:B8" name="Intervalo1"/>
    <protectedRange sqref="K6:L7" name="Intervalo3"/>
    <protectedRange sqref="B32:B33" name="Intervalo5"/>
  </protectedRanges>
  <mergeCells count="17">
    <mergeCell ref="R3:R5"/>
    <mergeCell ref="B54:C54"/>
    <mergeCell ref="O3:O5"/>
    <mergeCell ref="P3:P5"/>
    <mergeCell ref="A17:C17"/>
    <mergeCell ref="A29:C29"/>
    <mergeCell ref="A36:C36"/>
    <mergeCell ref="A40:C40"/>
    <mergeCell ref="Q3:Q5"/>
    <mergeCell ref="N3:N5"/>
    <mergeCell ref="A2:C2"/>
    <mergeCell ref="E3:E4"/>
    <mergeCell ref="M3:M5"/>
    <mergeCell ref="G6:G10"/>
    <mergeCell ref="K3:K5"/>
    <mergeCell ref="L3:L5"/>
    <mergeCell ref="H6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Normal="100" workbookViewId="0">
      <selection activeCell="F5" sqref="F5"/>
    </sheetView>
  </sheetViews>
  <sheetFormatPr defaultRowHeight="14.4" x14ac:dyDescent="0.3"/>
  <cols>
    <col min="1" max="1" width="22.109375" style="35" customWidth="1"/>
    <col min="2" max="2" width="22.88671875" style="35" customWidth="1"/>
    <col min="3" max="3" width="24.109375" style="35" customWidth="1"/>
    <col min="4" max="4" width="23.6640625" style="35" customWidth="1"/>
    <col min="5" max="5" width="16.5546875" style="35" customWidth="1"/>
    <col min="6" max="6" width="13.109375" style="35" customWidth="1"/>
    <col min="7" max="7" width="15.6640625" style="35" customWidth="1"/>
    <col min="8" max="8" width="10.6640625" style="35" customWidth="1"/>
    <col min="9" max="9" width="10.109375" style="35" customWidth="1"/>
    <col min="10" max="10" width="9.88671875" style="35" customWidth="1"/>
    <col min="11" max="11" width="10.5546875" style="35" customWidth="1"/>
    <col min="12" max="12" width="10" style="35" customWidth="1"/>
    <col min="13" max="13" width="9.5546875" style="35" customWidth="1"/>
    <col min="14" max="14" width="12" style="35" bestFit="1" customWidth="1"/>
    <col min="15" max="16384" width="8.88671875" style="35"/>
  </cols>
  <sheetData>
    <row r="1" spans="1:13" ht="16.2" customHeight="1" x14ac:dyDescent="0.3">
      <c r="I1" s="39"/>
      <c r="J1" s="39"/>
      <c r="K1" s="39"/>
    </row>
    <row r="2" spans="1:13" ht="17.25" customHeight="1" x14ac:dyDescent="0.3">
      <c r="A2" s="90" t="s">
        <v>2</v>
      </c>
      <c r="B2" s="90"/>
      <c r="C2" s="90"/>
      <c r="E2" s="83" t="s">
        <v>25</v>
      </c>
      <c r="F2" s="84" t="s">
        <v>50</v>
      </c>
      <c r="G2" s="84" t="s">
        <v>51</v>
      </c>
      <c r="I2" s="39"/>
      <c r="J2" s="39"/>
      <c r="K2" s="39"/>
      <c r="M2" s="39"/>
    </row>
    <row r="3" spans="1:13" ht="17.25" customHeight="1" x14ac:dyDescent="0.3">
      <c r="E3" s="83"/>
      <c r="F3" s="84"/>
      <c r="G3" s="84"/>
      <c r="I3" s="39"/>
      <c r="J3" s="39"/>
      <c r="K3" s="39"/>
      <c r="M3" s="39"/>
    </row>
    <row r="4" spans="1:13" ht="16.2" x14ac:dyDescent="0.3">
      <c r="A4" s="37"/>
      <c r="B4" s="37" t="s">
        <v>1</v>
      </c>
      <c r="C4" s="37" t="s">
        <v>0</v>
      </c>
      <c r="D4" s="37" t="s">
        <v>22</v>
      </c>
      <c r="E4" s="37" t="s">
        <v>23</v>
      </c>
      <c r="F4" s="84"/>
      <c r="G4" s="84"/>
      <c r="I4" s="39"/>
      <c r="J4" s="39"/>
      <c r="K4" s="39"/>
      <c r="M4" s="39"/>
    </row>
    <row r="5" spans="1:13" ht="14.4" customHeight="1" x14ac:dyDescent="0.3">
      <c r="A5" s="8" t="str">
        <f>ULS!A6</f>
        <v>Lamela 5</v>
      </c>
      <c r="B5" s="8">
        <f>ULS!B6</f>
        <v>40</v>
      </c>
      <c r="C5" s="8">
        <f>ULS!C6</f>
        <v>1000</v>
      </c>
      <c r="D5" s="8">
        <f>ULS!D6</f>
        <v>40000</v>
      </c>
      <c r="E5" s="8">
        <f>ULS!E6</f>
        <v>800000</v>
      </c>
      <c r="F5" s="10">
        <f>ULS!O6*5/6</f>
        <v>5729.166666666667</v>
      </c>
      <c r="G5" s="10">
        <f>ULS!P6*5/6</f>
        <v>359.375</v>
      </c>
      <c r="I5" s="39"/>
      <c r="J5" s="39"/>
      <c r="K5" s="39"/>
      <c r="M5" s="39"/>
    </row>
    <row r="6" spans="1:13" x14ac:dyDescent="0.3">
      <c r="A6" s="8" t="str">
        <f>ULS!A7</f>
        <v>Lamela 4</v>
      </c>
      <c r="B6" s="8">
        <f>ULS!B7</f>
        <v>40</v>
      </c>
      <c r="C6" s="8">
        <f>ULS!C7</f>
        <v>1000</v>
      </c>
      <c r="D6" s="8">
        <f>ULS!D7</f>
        <v>40000</v>
      </c>
      <c r="E6" s="8">
        <f>ULS!E7</f>
        <v>2400000</v>
      </c>
      <c r="F6" s="10">
        <f>ULS!O7*5/6</f>
        <v>93.434343434343432</v>
      </c>
      <c r="G6" s="10">
        <f>ULS!P7*5/6</f>
        <v>17.424242424242426</v>
      </c>
      <c r="I6" s="39"/>
      <c r="J6" s="39"/>
      <c r="K6" s="39"/>
      <c r="M6" s="39"/>
    </row>
    <row r="7" spans="1:13" x14ac:dyDescent="0.3">
      <c r="A7" s="8" t="str">
        <f>ULS!A8</f>
        <v>Lamela 3</v>
      </c>
      <c r="B7" s="8">
        <f>ULS!B8</f>
        <v>30</v>
      </c>
      <c r="C7" s="8">
        <f>ULS!C8</f>
        <v>1000</v>
      </c>
      <c r="D7" s="8">
        <f>ULS!D8</f>
        <v>30000</v>
      </c>
      <c r="E7" s="8">
        <f>ULS!E8</f>
        <v>2850000</v>
      </c>
      <c r="F7" s="10">
        <f>ULS!O8*5/6</f>
        <v>0.79158358258557648</v>
      </c>
      <c r="G7" s="10">
        <f>ULS!P8*5/6</f>
        <v>0.31375000000000003</v>
      </c>
      <c r="I7" s="39"/>
      <c r="J7" s="39"/>
      <c r="K7" s="39"/>
      <c r="M7" s="39"/>
    </row>
    <row r="8" spans="1:13" x14ac:dyDescent="0.3">
      <c r="A8" s="8" t="str">
        <f>ULS!A9</f>
        <v>Lamela 2</v>
      </c>
      <c r="B8" s="8">
        <f>ULS!B9</f>
        <v>40</v>
      </c>
      <c r="C8" s="8">
        <f>ULS!C9</f>
        <v>1000</v>
      </c>
      <c r="D8" s="8">
        <f>ULS!D9</f>
        <v>40000</v>
      </c>
      <c r="E8" s="8">
        <f>ULS!E9</f>
        <v>5200000</v>
      </c>
      <c r="F8" s="10">
        <f>ULS!O9*5/6</f>
        <v>93.434343434343432</v>
      </c>
      <c r="G8" s="10">
        <f>ULS!P9*5/6</f>
        <v>17.424242424242426</v>
      </c>
      <c r="I8" s="39"/>
      <c r="J8" s="39"/>
      <c r="K8" s="39"/>
      <c r="M8" s="39"/>
    </row>
    <row r="9" spans="1:13" x14ac:dyDescent="0.3">
      <c r="A9" s="8" t="str">
        <f>ULS!A10</f>
        <v>Lamela 1</v>
      </c>
      <c r="B9" s="8">
        <f>ULS!B10</f>
        <v>40</v>
      </c>
      <c r="C9" s="8">
        <f>ULS!C10</f>
        <v>1000</v>
      </c>
      <c r="D9" s="8">
        <f>ULS!D10</f>
        <v>40000</v>
      </c>
      <c r="E9" s="8">
        <f>ULS!E10</f>
        <v>6800000</v>
      </c>
      <c r="F9" s="10">
        <f>ULS!O10*5/6</f>
        <v>5729.166666666667</v>
      </c>
      <c r="G9" s="10">
        <f>ULS!P10*5/6</f>
        <v>359.375</v>
      </c>
      <c r="I9" s="39"/>
      <c r="J9" s="39"/>
      <c r="K9" s="39"/>
      <c r="M9" s="39"/>
    </row>
    <row r="10" spans="1:13" ht="15" thickBot="1" x14ac:dyDescent="0.35">
      <c r="I10" s="39"/>
      <c r="J10" s="39"/>
      <c r="K10" s="39"/>
      <c r="L10" s="39"/>
      <c r="M10" s="39"/>
    </row>
    <row r="11" spans="1:13" ht="15" thickBot="1" x14ac:dyDescent="0.35">
      <c r="B11" s="31" t="s">
        <v>16</v>
      </c>
      <c r="C11" s="72">
        <f>ULS!C12</f>
        <v>3000</v>
      </c>
      <c r="D11" s="35" t="s">
        <v>10</v>
      </c>
      <c r="E11" s="4"/>
      <c r="I11" s="39"/>
      <c r="J11" s="39"/>
      <c r="K11" s="39"/>
      <c r="L11" s="39"/>
      <c r="M11" s="39"/>
    </row>
    <row r="12" spans="1:13" x14ac:dyDescent="0.3">
      <c r="B12" s="31" t="s">
        <v>24</v>
      </c>
      <c r="C12" s="47">
        <f>SUM(B5:B9)</f>
        <v>190</v>
      </c>
      <c r="D12" s="35" t="s">
        <v>10</v>
      </c>
      <c r="I12" s="39"/>
      <c r="J12" s="39"/>
      <c r="K12" s="39"/>
    </row>
    <row r="13" spans="1:13" x14ac:dyDescent="0.3">
      <c r="B13" s="31" t="s">
        <v>18</v>
      </c>
      <c r="C13" s="5">
        <f>C5</f>
        <v>1000</v>
      </c>
      <c r="D13" s="35" t="s">
        <v>10</v>
      </c>
      <c r="I13" s="39"/>
      <c r="J13" s="39"/>
      <c r="K13" s="39"/>
    </row>
    <row r="14" spans="1:13" x14ac:dyDescent="0.3">
      <c r="A14" s="30"/>
      <c r="B14" s="31" t="s">
        <v>27</v>
      </c>
      <c r="C14" s="16">
        <f>(F5*E5+F6*E6+F7*E7+F8*E8+F9*E9)/(F5*B5*C5+F6*B6*C6+F7*B7*C7+F8*B8*C8+F9*B9*C9)</f>
        <v>95</v>
      </c>
      <c r="D14" s="35" t="s">
        <v>10</v>
      </c>
    </row>
    <row r="15" spans="1:13" x14ac:dyDescent="0.3">
      <c r="A15" s="22"/>
      <c r="B15" s="31"/>
      <c r="C15" s="31"/>
      <c r="D15" s="55"/>
    </row>
    <row r="16" spans="1:13" x14ac:dyDescent="0.3">
      <c r="B16" s="3"/>
      <c r="C16" s="3"/>
      <c r="D16" s="3"/>
    </row>
    <row r="17" spans="1:16" x14ac:dyDescent="0.3">
      <c r="A17" s="90" t="s">
        <v>3</v>
      </c>
      <c r="B17" s="90"/>
      <c r="C17" s="90"/>
      <c r="D17" s="3"/>
      <c r="E17" s="6"/>
    </row>
    <row r="18" spans="1:16" x14ac:dyDescent="0.3">
      <c r="A18" s="18"/>
      <c r="B18" s="18" t="s">
        <v>12</v>
      </c>
      <c r="C18" s="18" t="s">
        <v>9</v>
      </c>
      <c r="D18" s="18" t="s">
        <v>14</v>
      </c>
    </row>
    <row r="19" spans="1:16" x14ac:dyDescent="0.3">
      <c r="A19" s="18"/>
      <c r="B19" s="18" t="s">
        <v>13</v>
      </c>
      <c r="C19" s="36" t="s">
        <v>19</v>
      </c>
      <c r="D19" s="18" t="s">
        <v>15</v>
      </c>
    </row>
    <row r="20" spans="1:16" ht="16.2" x14ac:dyDescent="0.3">
      <c r="A20" s="36"/>
      <c r="B20" s="37" t="s">
        <v>11</v>
      </c>
      <c r="C20" s="37" t="s">
        <v>20</v>
      </c>
      <c r="D20" s="19" t="s">
        <v>21</v>
      </c>
      <c r="E20" s="19" t="s">
        <v>21</v>
      </c>
      <c r="G20" s="33"/>
    </row>
    <row r="21" spans="1:16" x14ac:dyDescent="0.3">
      <c r="A21" s="8" t="s">
        <v>4</v>
      </c>
      <c r="B21" s="10">
        <f>ABS(C14-B5/2)</f>
        <v>75</v>
      </c>
      <c r="C21" s="2">
        <f>C5*B5^3/12+D5*B21^2</f>
        <v>230333333.33333334</v>
      </c>
      <c r="D21" s="26">
        <f>C21*F5</f>
        <v>1319618055555.5557</v>
      </c>
    </row>
    <row r="22" spans="1:16" x14ac:dyDescent="0.3">
      <c r="A22" s="8" t="s">
        <v>5</v>
      </c>
      <c r="B22" s="10">
        <f>ABS(C14-B5-B6/2)</f>
        <v>35</v>
      </c>
      <c r="C22" s="2">
        <f>C6*B6^3/12+D6*B22^2</f>
        <v>54333333.333333336</v>
      </c>
      <c r="D22" s="26">
        <f>C22*F6</f>
        <v>5076599326.5993271</v>
      </c>
      <c r="G22" s="33"/>
    </row>
    <row r="23" spans="1:16" x14ac:dyDescent="0.3">
      <c r="A23" s="9" t="s">
        <v>6</v>
      </c>
      <c r="B23" s="11">
        <f>ABS(C14-B5-B6-B7/2)</f>
        <v>0</v>
      </c>
      <c r="C23" s="20">
        <f>C7*B7^3/12+D7*B23^2</f>
        <v>2250000</v>
      </c>
      <c r="D23" s="27">
        <f>C23*F7</f>
        <v>1781063.0608175471</v>
      </c>
      <c r="L23" s="22"/>
    </row>
    <row r="24" spans="1:16" x14ac:dyDescent="0.3">
      <c r="A24" s="8" t="s">
        <v>7</v>
      </c>
      <c r="B24" s="10">
        <f>ABS(C14-B5-B6-B7-B8/2)</f>
        <v>35</v>
      </c>
      <c r="C24" s="2">
        <f>C8*B8^3/12+D8*B24^2</f>
        <v>54333333.333333336</v>
      </c>
      <c r="D24" s="26">
        <f>C24*F8</f>
        <v>5076599326.5993271</v>
      </c>
      <c r="F24" s="31"/>
      <c r="H24" s="36"/>
      <c r="L24" s="31"/>
      <c r="O24" s="34"/>
    </row>
    <row r="25" spans="1:16" x14ac:dyDescent="0.3">
      <c r="A25" s="8" t="s">
        <v>8</v>
      </c>
      <c r="B25" s="10">
        <f>ABS(C14-B5-B6-B7-B8-B9/2)</f>
        <v>75</v>
      </c>
      <c r="C25" s="2">
        <f>C9*B9^3/12+D9*B25^2</f>
        <v>230333333.33333334</v>
      </c>
      <c r="D25" s="26">
        <f>C25*F9</f>
        <v>1319618055555.5557</v>
      </c>
      <c r="E25" s="36"/>
      <c r="F25" s="40" t="s">
        <v>29</v>
      </c>
      <c r="H25" s="31"/>
      <c r="L25" s="31"/>
      <c r="O25" s="34"/>
    </row>
    <row r="26" spans="1:16" s="13" customFormat="1" ht="15.6" x14ac:dyDescent="0.35">
      <c r="A26" s="14"/>
      <c r="B26" s="32"/>
      <c r="D26" s="17">
        <f>SUM(D21:D25)</f>
        <v>2649391090827.3711</v>
      </c>
      <c r="E26" s="28" t="s">
        <v>26</v>
      </c>
      <c r="F26" s="29">
        <f>60*gci*gdo*gqu*gtr*gum*kclt^2/(b*(8*h^5*etr^2*gci*gdo*gqu*gum-40*h^4*(n*etr-edo*hdo+etr*(hdo+hum)-eum*hum)*etr*gci*gdo*gqu*gum+20*h^3*(4*n^2*etr^2-8*n*(edo*hdo-etr*(hdo+hum)+eum*hum)*etr+3*edo^2*hdo^2-edo*(etr*(7*hdo+8*hum)-6*eum*hum)*hdo+4*etr^2*(hdo^2+2*hdo*hum+hum^2)-etr*eum*(6*hdo+7*hum)*hum+3*eum^2*hum^2)*gci*gdo*gqu*gum-20*h^2*(4*n^3*etr^2*gdo*gum-12*n^2*(edo*hdo-etr*(hdo+hum)+eum*hum)*etr*gdo*gum+3*n*(3*edo^2*hdo^2-edo*(etr*(7*hdo+8*hum)-6*eum*hum)*hdo+4*etr^2*(hdo^2+2*hdo*hum+hum^2)-etr*eum*(6*hdo+7*hum)*hum+3*eum^2*hum^2)*gdo*gum+edo^2*(3*gdo*(2*hdo+3*hum)-gtr*hdo)*gum*hdo^2-3*edo*(etr*gdo*(3*hdo^2+7*hdo*hum+4*hum^2)-eum*(gdo*(3*hdo+5*hum)-gtr*hdo)*hum)*gum*hdo+4*etr^2*gdo*gum*(hdo+hum)*(hdo^2+2*hdo*hum+hum^2)-3*etr*eum*gdo*gum*(2*hdo^2+5*hdo*hum+3*hum^2)*hum-eum^2*(gdo*(gtr*hum-3*gum*(hdo+2*hum))+3*gtr*gum*hdo)*hum^2)*gci*gqu+5*h*(8*n^4*etr^2*gdo*gum-32*n^3*(edo*hdo-etr*(hdo+hum)+eum*hum)*etr*gdo*gum+12*n^2*(3*edo^2*hdo^2-edo*(etr*(7*hdo+8*hum)-6*eum*hum)*hdo+4*etr^2*(hdo^2+2*hdo*hum+hum^2)-etr*eum*(6*hdo+7*hum)*hum+3*eum^2*hum^2)*gdo*gum+8*n*(edo^2*(3*gdo*(2*hdo+3*hum)-gtr*hdo)*gum*hdo^2-3*edo*(etr*gdo*(3*hdo^2+7*hdo*hum+4*hum^2)-eum*(gdo*(3*hdo+5*hum)-gtr*hdo)*hum)*gum*hdo+4*etr^2*gdo*gum*(hdo+hum)*(hdo^2+2*hdo*hum+hum^2)-3*etr*eum*gdo*gum*(2*hdo^2+5*hdo*hum+3*hum^2)*hum-eum^2*(gdo*(gtr*hum-3*gum*(hdo+2*hum))+3*gtr*gum*hdo)*hum^2)+edo^2*(3*gdo*(hdo+2*hum)*(5*hdo+6*hum)-gtr*hdo*(3*hdo+8*hum))*gum*hdo^2-2*edo*(2*etr*gdo*(5*hdo^3+18*hdo^2*hum+21*hdo*hum^2+8*hum^3)-eum*(3*gdo*(2*hdo^2+9*hdo*hum+8*hum^2)-gtr*hdo*(2*hdo+9*hum))*hum)*gum*hdo+8*etr^2*gdo*gum*(hdo^2+2*hdo*hum+hum^2)^2-4*etr*eum*gdo*gum*(2*hdo^3+9*hdo^2*hum+12*hdo*hum^2+5*hum^3)*hum-3*eum^2*(gdo*(gtr*hum-gum*(4*hdo+5*hum))+4*gtr*gum*hdo)*hum^3)*gci*gqu+40*n^4*(eci*hci+edo*hdo+equ*hqu-etr*(hci+hdo+hqu+hum)+eum*hum)*etr*gci*gdo*gqu*gum+20*n^3*(3*eci^2*hci^2+eci*(6*equ*hqu-etr*(7*hci+6*hqu))*hci-3*edo^2*hdo^2+edo*(etr*(7*hdo+8*hum)-6*eum*hum)*hdo+3*equ^2*hqu^2-equ*etr*(8*hci+7*hqu)*hqu+4*etr^2*(hci^2+2*hci*hqu-hdo^2-2*hdo*hum+hqu^2-hum^2)+etr*eum*(6*hdo+7*hum)*hum-3*eum^2*hum^2)*gci*gdo*gqu*gum-20*n^2*(eci^2*(3*gci*(gqu*(2*hci+hqu)-gtr*hqu)-gqu*gtr*hci)*gdo*gum*hci^2+3*eci*(equ*(gqu*(5*hci+3*hqu)-gtr*hqu)*hqu-etr*gqu*(3*hci^2+5*hci*hqu+2*hqu^2))*gci*gdo*gum*hci+(edo^2*(3*gdo*(2*hdo+3*hum)-gtr*hdo)*gqu*gum*hdo^2-3*edo*(etr*gdo*(3*hdo^2+7*hdo*hum+4*hum^2)-eum*(gdo*(3*hdo+5*hum)-gtr*hdo)*hum)*gqu*gum*hdo+equ^2*gdo*(3*gqu*(3*hci+2*hqu)-gtr*hqu)*gum*hqu^2-3*equ*etr*gdo*gqu*gum*(4*hci^2+7*hci*hqu+3*hqu^2)*hqu+(4*etr^2*gdo*gum*(hci^3+3*hci^2*hqu+3*hci*hqu^2+hdo^3+3*hdo^2*hum+3*hdo*hum^2+hqu^3+hum^3)-3*etr*eum*gdo*gum*(2*hdo^2+5*hdo*hum+3*hum^2)*hum-eum^2*(gdo*(gtr*hum-3*gum*(hdo+2*hum))+3*gtr*gum*hdo)*hum^2)*gqu)*gci)+5*n*(3*eci^2*(gci*(gqu*(5*hci+4*hqu)-4*gtr*hqu)-gqu*gtr*hci)*gdo*gum*hci^3+2*eci*(equ*(3*gqu*(8*hci^2+9*hci*hqu+2*hqu^2)-gtr*(9*hci+2*hqu)*hqu)*hqu-2*etr*gqu*(5*hci^3+12*hci^2*hqu+9*hci*hqu^2+2*hqu^3))*gci*gdo*gum*hci-(edo^2*(3*gdo*(hdo+2*hum)*(5*hdo+6*hum)-gtr*hdo*(3*hdo+8*hum))*gqu*gum*hdo^2-2*edo*(2*etr*gdo*(5*hdo^3+18*hdo^2*hum+21*hdo*hum^2+8*hum^3)-eum*(3*gdo*(2*hdo^2+9*hdo*hum+8*hum^2)-gtr*hdo*(2*hdo+9*hum))*hum)*gqu*gum*hdo-equ^2*gdo*(3*gqu*(2*hci+hqu)*(6*hci+5*hqu)-gtr*(8*hci+3*hqu)*hqu)*gum*hqu^2+4*equ*etr*gdo*gqu*gum*(8*hci^3+21*hci^2*hqu+18*hci*hqu^2+5*hqu^3)*hqu-(8*etr^2*gdo*gum*(hci^4+4*hci^3*hqu+6*hci^2*hqu^2+4*hci*hqu^3-hdo^4-4*hdo^3*hum-6*hdo^2*hum^2-4*hdo*hum^3+hqu^4-hum^4)+4*etr*eum*gdo*gum*(2*hdo^3+9*hdo^2*hum+12*hdo*hum^2+5*hum^3)*hum+3*eum^2*(gdo*(gtr*hum-gum*(4*hdo+5*hum))+4*gtr*gum*hdo)*hum^3)*gqu)*gci)-3*eci^2*(5*gci*(gqu*(hci+hqu)-gtr*hqu)-gqu*gtr*hci)*gdo*gum*hci^4-10*eci*(equ*(3*gqu*(hci+hqu)*(2*hci+hqu)-gtr*(3*hci+hqu)*hqu)*hqu-2*etr*gqu*(hci+hqu)*(hci^2+2*hci*hqu+hqu^2))*gci*gdo*gum*hci^2-(edo^2*(15*gdo*(hdo+hum)*(hdo+2*hum)^2-gtr*hdo*(3*hdo^2+15*hdo*hum+20*hum^2))*gqu*gum*hdo^2-10*edo*(2*etr*gdo*(hdo+hum)*(hdo+2*hum)*(hdo^2+2*hdo*hum+hum^2)-eum*(3*gdo*(hdo+hum)*(hdo+2*hum)-gtr*hdo*(hdo+3*hum))*hum^2)*gqu*gum*hdo+equ^2*gdo*(15*gqu*(hci+hqu)*(2*hci+hqu)^2-gtr*(20*hci^2+15*hci*hqu+3*hqu^2)*hqu)*gum*hqu^2-20*equ*etr*gdo*gqu*gum*(hci+hqu)*(2*hci+hqu)*(hci^2+2*hci*hqu+hqu^2)*hqu+(8*etr^2*gdo*gum*(hci^5+5*hci^4*hqu+10*hci^3*hqu^2+10*hci^2*hqu^3+5*hci*hqu^4+hdo^5+5*hdo^4*hum+10*hdo^3*hum^2+10*hdo^2*hum^3+5*hdo*hum^4+hqu^5+hum^5)-20*etr*eum*gdo*gum*(hdo+hum)*(hdo^2+2*hdo*hum+hum^2)*hum^2-3*eum^2*(gdo*(gtr*hum-5*gum*(hdo+hum))+5*gtr*gum*hdo)*hum^4)*gqu)*gci))</f>
        <v>233417.05681155474</v>
      </c>
      <c r="H26" s="12"/>
      <c r="J26" s="35"/>
      <c r="L26" s="31"/>
      <c r="N26" s="35"/>
      <c r="O26" s="34"/>
      <c r="P26" s="35"/>
    </row>
    <row r="27" spans="1:16" s="13" customFormat="1" ht="15.6" x14ac:dyDescent="0.35">
      <c r="A27" s="14"/>
      <c r="B27" s="12"/>
      <c r="D27" s="28" t="s">
        <v>30</v>
      </c>
      <c r="E27" s="35"/>
      <c r="F27" s="15"/>
      <c r="G27" s="7"/>
    </row>
  </sheetData>
  <sheetProtection algorithmName="SHA-512" hashValue="yM0LedNYylL5sldtB9Wf9MsoSKsCtlt+/1dwNuJxMxrVwsrxQtTOvYpb3e+05/tkz3maixgaFZlpXMp7gFaWTA==" saltValue="3RqipmLeT6tU4h+oLGJw8w==" spinCount="100000" sheet="1" objects="1" scenarios="1"/>
  <mergeCells count="5">
    <mergeCell ref="A2:C2"/>
    <mergeCell ref="E2:E3"/>
    <mergeCell ref="F2:F4"/>
    <mergeCell ref="G2:G4"/>
    <mergeCell ref="A17:C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38</vt:i4>
      </vt:variant>
    </vt:vector>
  </HeadingPairs>
  <TitlesOfParts>
    <vt:vector size="40" baseType="lpstr">
      <vt:lpstr>ULS</vt:lpstr>
      <vt:lpstr>Inst</vt:lpstr>
      <vt:lpstr>Inst!b</vt:lpstr>
      <vt:lpstr>ULS!b</vt:lpstr>
      <vt:lpstr>Inst!eci</vt:lpstr>
      <vt:lpstr>ULS!eci</vt:lpstr>
      <vt:lpstr>Inst!edo</vt:lpstr>
      <vt:lpstr>ULS!edo</vt:lpstr>
      <vt:lpstr>Inst!equ</vt:lpstr>
      <vt:lpstr>ULS!equ</vt:lpstr>
      <vt:lpstr>Inst!etr</vt:lpstr>
      <vt:lpstr>ULS!etr</vt:lpstr>
      <vt:lpstr>Inst!eum</vt:lpstr>
      <vt:lpstr>ULS!eum</vt:lpstr>
      <vt:lpstr>Inst!gci</vt:lpstr>
      <vt:lpstr>ULS!gci</vt:lpstr>
      <vt:lpstr>Inst!gdo</vt:lpstr>
      <vt:lpstr>ULS!gdo</vt:lpstr>
      <vt:lpstr>Inst!gqu</vt:lpstr>
      <vt:lpstr>ULS!gqu</vt:lpstr>
      <vt:lpstr>Inst!gtr</vt:lpstr>
      <vt:lpstr>ULS!gtr</vt:lpstr>
      <vt:lpstr>Inst!gum</vt:lpstr>
      <vt:lpstr>ULS!gum</vt:lpstr>
      <vt:lpstr>Inst!h</vt:lpstr>
      <vt:lpstr>ULS!h</vt:lpstr>
      <vt:lpstr>Inst!hci</vt:lpstr>
      <vt:lpstr>ULS!hci</vt:lpstr>
      <vt:lpstr>Inst!hdo</vt:lpstr>
      <vt:lpstr>ULS!hdo</vt:lpstr>
      <vt:lpstr>Inst!hqu</vt:lpstr>
      <vt:lpstr>ULS!hqu</vt:lpstr>
      <vt:lpstr>Inst!htr</vt:lpstr>
      <vt:lpstr>ULS!htr</vt:lpstr>
      <vt:lpstr>Inst!hum</vt:lpstr>
      <vt:lpstr>ULS!hum</vt:lpstr>
      <vt:lpstr>Inst!kclt</vt:lpstr>
      <vt:lpstr>ULS!kclt</vt:lpstr>
      <vt:lpstr>Inst!n</vt:lpstr>
      <vt:lpstr>ULS!n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Coimbra</dc:creator>
  <cp:lastModifiedBy>Pedro</cp:lastModifiedBy>
  <dcterms:created xsi:type="dcterms:W3CDTF">2012-03-27T21:22:08Z</dcterms:created>
  <dcterms:modified xsi:type="dcterms:W3CDTF">2020-11-11T10:20:55Z</dcterms:modified>
</cp:coreProperties>
</file>